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0" yWindow="32760" windowWidth="20510" windowHeight="7790" activeTab="0"/>
  </bookViews>
  <sheets>
    <sheet name="Personel_Maliyeti_Yıllık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<sst xmlns="http://schemas.openxmlformats.org/spreadsheetml/2006/main" count="53" uniqueCount="48">
  <si>
    <t>Brüt Maaş</t>
  </si>
  <si>
    <t>SSK İşçi primi</t>
  </si>
  <si>
    <t>İşsizlik İşçi primi</t>
  </si>
  <si>
    <t>Damga Vergisi</t>
  </si>
  <si>
    <t>SSK İşveren Primi</t>
  </si>
  <si>
    <t>İşsizlik İşveren primi</t>
  </si>
  <si>
    <t>Aylar</t>
  </si>
  <si>
    <t>SSK İşçi</t>
  </si>
  <si>
    <t>İşsizlik İşçi</t>
  </si>
  <si>
    <t>GV Matrahı1</t>
  </si>
  <si>
    <t>Kumüle GV</t>
  </si>
  <si>
    <t>gv1</t>
  </si>
  <si>
    <t>gv2</t>
  </si>
  <si>
    <t>gv3</t>
  </si>
  <si>
    <t>Gelir Vergisi</t>
  </si>
  <si>
    <t>Net Ücret</t>
  </si>
  <si>
    <t>SSK İşveren</t>
  </si>
  <si>
    <t>İşsizlik İşveren</t>
  </si>
  <si>
    <t>TOPLAM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</si>
  <si>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</si>
  <si>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</si>
  <si>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</si>
  <si>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</si>
  <si>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</si>
  <si>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</si>
  <si>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</si>
  <si>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</si>
  <si>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</si>
  <si>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</si>
  <si>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</si>
  <si>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</si>
  <si>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AGİ DURUMU</t>
  </si>
  <si>
    <t>Evli mi?</t>
  </si>
  <si>
    <t>Evet</t>
  </si>
  <si>
    <t>Eşi Çalışıyormu?</t>
  </si>
  <si>
    <t>Çocuk Sayısı</t>
  </si>
  <si>
    <t>AGİ Oranı</t>
  </si>
  <si>
    <t>Sütun1</t>
  </si>
  <si>
    <t>Hayır</t>
  </si>
  <si>
    <t>Sütun2</t>
  </si>
  <si>
    <t>Sütun3</t>
  </si>
  <si>
    <t>Brüt Asgari Ücret</t>
  </si>
  <si>
    <t>2019 Gelir Vergisi Dilimleri</t>
  </si>
  <si>
    <t>SSK TAVAN</t>
  </si>
  <si>
    <t>Net Maaş (AGİ Hariç)</t>
  </si>
  <si>
    <t>Toplam Maliyet (SGK + GV)</t>
  </si>
  <si>
    <t>AGİ</t>
  </si>
  <si>
    <t>Net Ücret
(AGİ Dahil)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</si>
</sst>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 * #,##0.00_ ;_ * \-#,##0.00_ ;_ * &quot;-&quot;??_ ;_ @_ "/>
    <numFmt numFmtId="173" formatCode="0.000%"/>
    <numFmt numFmtId="174" formatCode="0.0%"/>
    <numFmt numFmtId="175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 vertical="center"/>
    </xf>
    <xf numFmtId="44" fontId="34" fillId="5" borderId="10" xfId="49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 applyProtection="1">
      <alignment/>
      <protection hidden="1" locked="0"/>
    </xf>
    <xf numFmtId="0" fontId="16" fillId="0" borderId="0" xfId="0" applyFont="1" applyFill="1" applyAlignment="1" applyProtection="1">
      <alignment/>
      <protection hidden="1" locked="0"/>
    </xf>
    <xf numFmtId="0" fontId="18" fillId="0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 horizontal="right"/>
      <protection hidden="1" locked="0"/>
    </xf>
    <xf numFmtId="2" fontId="0" fillId="0" borderId="0" xfId="0" applyNumberFormat="1" applyFont="1" applyFill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43" fontId="0" fillId="0" borderId="0" xfId="0" applyNumberFormat="1" applyFont="1" applyFill="1" applyBorder="1" applyAlignment="1" applyProtection="1">
      <alignment/>
      <protection hidden="1" locked="0"/>
    </xf>
    <xf numFmtId="0" fontId="16" fillId="0" borderId="0" xfId="0" applyFont="1" applyFill="1" applyBorder="1" applyAlignment="1" applyProtection="1">
      <alignment/>
      <protection hidden="1" locked="0"/>
    </xf>
    <xf numFmtId="9" fontId="0" fillId="0" borderId="0" xfId="0" applyNumberFormat="1" applyFont="1" applyFill="1" applyAlignment="1" applyProtection="1">
      <alignment/>
      <protection hidden="1" locked="0"/>
    </xf>
    <xf numFmtId="9" fontId="36" fillId="34" borderId="10" xfId="60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vertical="center"/>
      <protection hidden="1" locked="0"/>
    </xf>
    <xf numFmtId="173" fontId="36" fillId="34" borderId="10" xfId="60" applyNumberFormat="1" applyFont="1" applyFill="1" applyBorder="1" applyAlignment="1" applyProtection="1">
      <alignment horizontal="center"/>
      <protection hidden="1" locked="0"/>
    </xf>
    <xf numFmtId="174" fontId="36" fillId="34" borderId="10" xfId="60" applyNumberFormat="1" applyFont="1" applyFill="1" applyBorder="1" applyAlignment="1" applyProtection="1">
      <alignment horizontal="center"/>
      <protection hidden="1" locked="0"/>
    </xf>
    <xf numFmtId="172" fontId="36" fillId="34" borderId="10" xfId="53" applyFont="1" applyFill="1" applyBorder="1" applyAlignment="1" applyProtection="1">
      <alignment horizontal="right"/>
      <protection hidden="1" locked="0"/>
    </xf>
    <xf numFmtId="172" fontId="36" fillId="34" borderId="10" xfId="53" applyFont="1" applyFill="1" applyBorder="1" applyAlignment="1" applyProtection="1">
      <alignment/>
      <protection hidden="1" locked="0"/>
    </xf>
    <xf numFmtId="9" fontId="0" fillId="0" borderId="0" xfId="60" applyFont="1" applyFill="1" applyBorder="1" applyAlignment="1" applyProtection="1">
      <alignment horizontal="center"/>
      <protection hidden="1" locked="0"/>
    </xf>
    <xf numFmtId="172" fontId="0" fillId="0" borderId="0" xfId="53" applyFont="1" applyFill="1" applyBorder="1" applyAlignment="1" applyProtection="1">
      <alignment horizontal="right"/>
      <protection hidden="1" locked="0"/>
    </xf>
    <xf numFmtId="172" fontId="0" fillId="0" borderId="0" xfId="53" applyFont="1" applyFill="1" applyBorder="1" applyAlignment="1" applyProtection="1">
      <alignment/>
      <protection hidden="1" locked="0"/>
    </xf>
    <xf numFmtId="172" fontId="0" fillId="0" borderId="0" xfId="53" applyFont="1" applyFill="1" applyAlignment="1" applyProtection="1">
      <alignment/>
      <protection hidden="1" locked="0"/>
    </xf>
    <xf numFmtId="9" fontId="0" fillId="33" borderId="0" xfId="60" applyFont="1" applyFill="1" applyBorder="1" applyAlignment="1" applyProtection="1">
      <alignment horizontal="center"/>
      <protection hidden="1" locked="0"/>
    </xf>
    <xf numFmtId="172" fontId="0" fillId="33" borderId="0" xfId="53" applyFont="1" applyFill="1" applyBorder="1" applyAlignment="1" applyProtection="1">
      <alignment horizontal="right"/>
      <protection hidden="1" locked="0"/>
    </xf>
    <xf numFmtId="9" fontId="19" fillId="33" borderId="11" xfId="60" applyFont="1" applyFill="1" applyBorder="1" applyAlignment="1" applyProtection="1">
      <alignment horizontal="left"/>
      <protection hidden="1" locked="0"/>
    </xf>
    <xf numFmtId="9" fontId="19" fillId="33" borderId="12" xfId="60" applyFont="1" applyFill="1" applyBorder="1" applyAlignment="1" applyProtection="1">
      <alignment horizontal="center"/>
      <protection hidden="1" locked="0"/>
    </xf>
    <xf numFmtId="0" fontId="0" fillId="33" borderId="10" xfId="0" applyFont="1" applyFill="1" applyBorder="1" applyAlignment="1" applyProtection="1">
      <alignment horizontal="center"/>
      <protection hidden="1" locked="0"/>
    </xf>
    <xf numFmtId="172" fontId="0" fillId="0" borderId="10" xfId="53" applyFont="1" applyFill="1" applyBorder="1" applyAlignment="1" applyProtection="1" quotePrefix="1">
      <alignment/>
      <protection hidden="1" locked="0"/>
    </xf>
    <xf numFmtId="172" fontId="0" fillId="0" borderId="0" xfId="53" applyFont="1" applyFill="1" applyBorder="1" applyAlignment="1" applyProtection="1" quotePrefix="1">
      <alignment/>
      <protection hidden="1" locked="0"/>
    </xf>
    <xf numFmtId="0" fontId="18" fillId="35" borderId="10" xfId="0" applyFont="1" applyFill="1" applyBorder="1" applyAlignment="1" applyProtection="1">
      <alignment horizontal="center" vertical="center"/>
      <protection hidden="1" locked="0"/>
    </xf>
    <xf numFmtId="4" fontId="18" fillId="35" borderId="10" xfId="0" applyNumberFormat="1" applyFont="1" applyFill="1" applyBorder="1" applyAlignment="1" applyProtection="1">
      <alignment horizontal="center" vertical="center"/>
      <protection hidden="1" locked="0"/>
    </xf>
    <xf numFmtId="0" fontId="18" fillId="35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 applyProtection="1">
      <alignment vertical="center"/>
      <protection hidden="1" locked="0"/>
    </xf>
    <xf numFmtId="43" fontId="0" fillId="33" borderId="10" xfId="53" applyNumberFormat="1" applyFont="1" applyFill="1" applyBorder="1" applyAlignment="1" applyProtection="1">
      <alignment/>
      <protection hidden="1" locked="0"/>
    </xf>
    <xf numFmtId="175" fontId="19" fillId="34" borderId="10" xfId="53" applyNumberFormat="1" applyFont="1" applyFill="1" applyBorder="1" applyAlignment="1" applyProtection="1">
      <alignment/>
      <protection hidden="1" locked="0"/>
    </xf>
    <xf numFmtId="0" fontId="19" fillId="34" borderId="10" xfId="0" applyFont="1" applyFill="1" applyBorder="1" applyAlignment="1" applyProtection="1">
      <alignment/>
      <protection hidden="1" locked="0"/>
    </xf>
    <xf numFmtId="172" fontId="0" fillId="33" borderId="10" xfId="53" applyFont="1" applyFill="1" applyBorder="1" applyAlignment="1" applyProtection="1">
      <alignment/>
      <protection hidden="1" locked="0"/>
    </xf>
    <xf numFmtId="43" fontId="0" fillId="33" borderId="10" xfId="0" applyNumberFormat="1" applyFont="1" applyFill="1" applyBorder="1" applyAlignment="1" applyProtection="1">
      <alignment/>
      <protection hidden="1" locked="0"/>
    </xf>
    <xf numFmtId="4" fontId="0" fillId="33" borderId="10" xfId="0" applyNumberFormat="1" applyFont="1" applyFill="1" applyBorder="1" applyAlignment="1" applyProtection="1" quotePrefix="1">
      <alignment horizontal="center"/>
      <protection hidden="1" locked="0"/>
    </xf>
    <xf numFmtId="0" fontId="18" fillId="0" borderId="0" xfId="0" applyFont="1" applyFill="1" applyAlignment="1" applyProtection="1">
      <alignment horizontal="center"/>
      <protection hidden="1" locked="0"/>
    </xf>
    <xf numFmtId="43" fontId="0" fillId="0" borderId="0" xfId="0" applyNumberFormat="1" applyFont="1" applyFill="1" applyAlignment="1" applyProtection="1">
      <alignment/>
      <protection hidden="1" locked="0"/>
    </xf>
    <xf numFmtId="0" fontId="18" fillId="3" borderId="10" xfId="0" applyFont="1" applyFill="1" applyBorder="1" applyAlignment="1" applyProtection="1">
      <alignment vertical="center"/>
      <protection hidden="1" locked="0"/>
    </xf>
    <xf numFmtId="43" fontId="18" fillId="3" borderId="10" xfId="53" applyNumberFormat="1" applyFont="1" applyFill="1" applyBorder="1" applyAlignment="1" applyProtection="1">
      <alignment vertical="center"/>
      <protection hidden="1" locked="0"/>
    </xf>
    <xf numFmtId="43" fontId="30" fillId="34" borderId="10" xfId="53" applyNumberFormat="1" applyFont="1" applyFill="1" applyBorder="1" applyAlignment="1" applyProtection="1">
      <alignment vertical="center"/>
      <protection hidden="1" locked="0"/>
    </xf>
    <xf numFmtId="44" fontId="0" fillId="0" borderId="0" xfId="49" applyFont="1" applyFill="1" applyAlignment="1" applyProtection="1">
      <alignment/>
      <protection hidden="1" locked="0"/>
    </xf>
    <xf numFmtId="44" fontId="0" fillId="0" borderId="0" xfId="0" applyNumberFormat="1" applyFont="1" applyFill="1" applyAlignment="1" applyProtection="1">
      <alignment/>
      <protection hidden="1" locked="0"/>
    </xf>
    <xf numFmtId="0" fontId="34" fillId="0" borderId="10" xfId="0" applyFont="1" applyBorder="1" applyAlignment="1" applyProtection="1">
      <alignment horizontal="left" vertical="center" wrapText="1"/>
      <protection hidden="1" locked="0"/>
    </xf>
    <xf numFmtId="43" fontId="36" fillId="34" borderId="10" xfId="49" applyNumberFormat="1" applyFont="1" applyFill="1" applyBorder="1" applyAlignment="1" applyProtection="1">
      <alignment horizontal="center"/>
      <protection hidden="1" locked="0"/>
    </xf>
    <xf numFmtId="0" fontId="36" fillId="34" borderId="10" xfId="0" applyFont="1" applyFill="1" applyBorder="1" applyAlignment="1" applyProtection="1">
      <alignment horizontal="center"/>
      <protection hidden="1" locked="0"/>
    </xf>
    <xf numFmtId="0" fontId="30" fillId="34" borderId="10" xfId="0" applyFont="1" applyFill="1" applyBorder="1" applyAlignment="1" applyProtection="1">
      <alignment horizontal="center" vertical="center" wrapText="1"/>
      <protection hidden="1" locked="0"/>
    </xf>
    <xf numFmtId="43" fontId="30" fillId="34" borderId="10" xfId="0" applyNumberFormat="1" applyFont="1" applyFill="1" applyBorder="1" applyAlignment="1" applyProtection="1">
      <alignment/>
      <protection hidden="1" locked="0"/>
    </xf>
    <xf numFmtId="0" fontId="18" fillId="35" borderId="11" xfId="0" applyFont="1" applyFill="1" applyBorder="1" applyAlignment="1" applyProtection="1">
      <alignment horizontal="center"/>
      <protection hidden="1" locked="0"/>
    </xf>
    <xf numFmtId="0" fontId="18" fillId="35" borderId="13" xfId="0" applyFont="1" applyFill="1" applyBorder="1" applyAlignment="1" applyProtection="1">
      <alignment horizontal="center"/>
      <protection hidden="1" locked="0"/>
    </xf>
    <xf numFmtId="0" fontId="18" fillId="35" borderId="12" xfId="0" applyFont="1" applyFill="1" applyBorder="1" applyAlignment="1" applyProtection="1">
      <alignment horizontal="center"/>
      <protection hidden="1" locked="0"/>
    </xf>
    <xf numFmtId="9" fontId="36" fillId="34" borderId="11" xfId="60" applyFont="1" applyFill="1" applyBorder="1" applyAlignment="1" applyProtection="1">
      <alignment horizontal="left"/>
      <protection hidden="1" locked="0"/>
    </xf>
    <xf numFmtId="9" fontId="36" fillId="34" borderId="12" xfId="60" applyFont="1" applyFill="1" applyBorder="1" applyAlignment="1" applyProtection="1">
      <alignment horizontal="left"/>
      <protection hidden="1" locked="0"/>
    </xf>
    <xf numFmtId="0" fontId="36" fillId="34" borderId="10" xfId="0" applyFont="1" applyFill="1" applyBorder="1" applyAlignment="1" applyProtection="1">
      <alignment horizontal="center"/>
      <protection hidden="1" locked="0"/>
    </xf>
    <xf numFmtId="4" fontId="36" fillId="34" borderId="11" xfId="0" applyNumberFormat="1" applyFont="1" applyFill="1" applyBorder="1" applyAlignment="1" applyProtection="1">
      <alignment horizontal="center"/>
      <protection hidden="1" locked="0"/>
    </xf>
    <xf numFmtId="4" fontId="36" fillId="34" borderId="12" xfId="0" applyNumberFormat="1" applyFont="1" applyFill="1" applyBorder="1" applyAlignment="1" applyProtection="1">
      <alignment horizontal="center"/>
      <protection hidden="1" locked="0"/>
    </xf>
    <xf numFmtId="0" fontId="30" fillId="34" borderId="11" xfId="0" applyFont="1" applyFill="1" applyBorder="1" applyAlignment="1" applyProtection="1">
      <alignment horizontal="center"/>
      <protection hidden="1" locked="0"/>
    </xf>
    <xf numFmtId="0" fontId="30" fillId="34" borderId="13" xfId="0" applyFont="1" applyFill="1" applyBorder="1" applyAlignment="1" applyProtection="1">
      <alignment horizontal="center"/>
      <protection hidden="1" locked="0"/>
    </xf>
    <xf numFmtId="0" fontId="30" fillId="34" borderId="12" xfId="0" applyFont="1" applyFill="1" applyBorder="1" applyAlignment="1" applyProtection="1">
      <alignment horizontal="center"/>
      <protection hidden="1" locked="0"/>
    </xf>
    <xf numFmtId="0" fontId="18" fillId="5" borderId="10" xfId="0" applyFont="1" applyFill="1" applyBorder="1" applyAlignment="1" applyProtection="1">
      <alignment horizontal="left" vertical="center"/>
      <protection hidden="1" locked="0"/>
    </xf>
    <xf numFmtId="0" fontId="30" fillId="34" borderId="10" xfId="0" applyFont="1" applyFill="1" applyBorder="1" applyAlignment="1" applyProtection="1">
      <alignment horizontal="left"/>
      <protection hidden="1"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Liste113174" displayName="Liste113174" ref="T2:T4" comment="" totalsRowShown="0">
  <tableColumns count="1">
    <tableColumn id="1" name="Sütun1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4" name="Liste214185" displayName="Liste214185" ref="U2:V7" comment="" totalsRowShown="0">
  <tableColumns count="2">
    <tableColumn id="1" name="Sütun2"/>
    <tableColumn id="2" name="Sütun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2" customWidth="1"/>
    <col min="2" max="4" width="16.140625" style="2" customWidth="1"/>
    <col min="5" max="9" width="16.140625" style="2" hidden="1" customWidth="1"/>
    <col min="10" max="17" width="16.140625" style="2" customWidth="1"/>
    <col min="18" max="18" width="15.140625" style="2" bestFit="1" customWidth="1"/>
    <col min="19" max="19" width="9.140625" style="2" customWidth="1"/>
    <col min="20" max="22" width="9.140625" style="2" hidden="1" customWidth="1"/>
    <col min="23" max="23" width="9.140625" style="2" customWidth="1"/>
    <col min="24" max="16384" width="9.140625" style="2" customWidth="1"/>
  </cols>
  <sheetData>
    <row r="2" spans="2:22" ht="24.75" customHeight="1">
      <c r="B2" s="62" t="s">
        <v>44</v>
      </c>
      <c r="C2" s="62"/>
      <c r="D2" s="1">
        <v>2200</v>
      </c>
      <c r="J2" s="3"/>
      <c r="T2" s="4" t="s">
        <v>37</v>
      </c>
      <c r="U2" s="4" t="s">
        <v>39</v>
      </c>
      <c r="V2" s="4" t="s">
        <v>40</v>
      </c>
    </row>
    <row r="3" spans="2:22" ht="14.25">
      <c r="B3" s="5"/>
      <c r="C3" s="5"/>
      <c r="D3" s="6"/>
      <c r="H3" s="7"/>
      <c r="I3" s="7"/>
      <c r="J3" s="7"/>
      <c r="K3" s="7"/>
      <c r="L3" s="8"/>
      <c r="M3" s="9"/>
      <c r="N3" s="10"/>
      <c r="Q3" s="11"/>
      <c r="T3" s="2" t="s">
        <v>33</v>
      </c>
      <c r="U3" s="2" t="s">
        <v>33</v>
      </c>
      <c r="V3" s="2">
        <v>0</v>
      </c>
    </row>
    <row r="4" spans="2:22" ht="14.25" hidden="1">
      <c r="B4" s="63" t="s">
        <v>1</v>
      </c>
      <c r="C4" s="63"/>
      <c r="D4" s="12">
        <v>0.14</v>
      </c>
      <c r="H4" s="7"/>
      <c r="I4" s="7"/>
      <c r="J4" s="3"/>
      <c r="K4" s="7"/>
      <c r="L4" s="8"/>
      <c r="M4" s="9"/>
      <c r="N4" s="10"/>
      <c r="Q4" s="13"/>
      <c r="R4" s="11"/>
      <c r="T4" s="2" t="s">
        <v>38</v>
      </c>
      <c r="U4" s="2" t="s">
        <v>38</v>
      </c>
      <c r="V4" s="2">
        <v>1</v>
      </c>
    </row>
    <row r="5" spans="2:22" ht="14.25" hidden="1">
      <c r="B5" s="63" t="s">
        <v>2</v>
      </c>
      <c r="C5" s="63"/>
      <c r="D5" s="12">
        <v>0.01</v>
      </c>
      <c r="H5" s="7"/>
      <c r="I5" s="7"/>
      <c r="J5" s="3"/>
      <c r="K5" s="7"/>
      <c r="L5" s="8"/>
      <c r="M5" s="9"/>
      <c r="N5" s="10"/>
      <c r="V5" s="2">
        <v>2</v>
      </c>
    </row>
    <row r="6" spans="2:22" ht="14.25" hidden="1">
      <c r="B6" s="63" t="s">
        <v>3</v>
      </c>
      <c r="C6" s="63"/>
      <c r="D6" s="14">
        <v>0.00759</v>
      </c>
      <c r="H6" s="7"/>
      <c r="I6" s="7"/>
      <c r="J6" s="3"/>
      <c r="K6" s="7"/>
      <c r="L6" s="8"/>
      <c r="M6" s="9"/>
      <c r="N6" s="10"/>
      <c r="V6" s="2">
        <v>3</v>
      </c>
    </row>
    <row r="7" spans="2:22" ht="14.25" hidden="1">
      <c r="B7" s="63" t="s">
        <v>4</v>
      </c>
      <c r="C7" s="63"/>
      <c r="D7" s="15">
        <v>0.205</v>
      </c>
      <c r="H7" s="7"/>
      <c r="I7" s="7"/>
      <c r="J7" s="3"/>
      <c r="K7" s="7"/>
      <c r="L7" s="8"/>
      <c r="M7" s="9"/>
      <c r="N7" s="10"/>
      <c r="V7" s="2">
        <v>4</v>
      </c>
    </row>
    <row r="8" spans="2:14" ht="14.25" hidden="1">
      <c r="B8" s="63" t="s">
        <v>5</v>
      </c>
      <c r="C8" s="63"/>
      <c r="D8" s="12">
        <v>0.02</v>
      </c>
      <c r="H8" s="7"/>
      <c r="I8" s="7"/>
      <c r="J8" s="3"/>
      <c r="K8" s="7"/>
      <c r="L8" s="8"/>
      <c r="M8" s="9"/>
      <c r="N8" s="10"/>
    </row>
    <row r="9" spans="2:14" ht="14.25" hidden="1">
      <c r="B9" s="5"/>
      <c r="C9" s="5"/>
      <c r="D9" s="5"/>
      <c r="H9" s="7"/>
      <c r="I9" s="7"/>
      <c r="J9" s="7"/>
      <c r="K9" s="7"/>
      <c r="L9" s="8"/>
      <c r="M9" s="9"/>
      <c r="N9" s="10"/>
    </row>
    <row r="10" spans="2:14" ht="14.25" hidden="1">
      <c r="B10" s="59" t="s">
        <v>42</v>
      </c>
      <c r="C10" s="60"/>
      <c r="D10" s="60"/>
      <c r="E10" s="61"/>
      <c r="H10" s="7"/>
      <c r="I10" s="7"/>
      <c r="J10" s="7"/>
      <c r="K10" s="7"/>
      <c r="L10" s="8"/>
      <c r="M10" s="9"/>
      <c r="N10" s="10"/>
    </row>
    <row r="11" spans="2:14" ht="14.25" hidden="1">
      <c r="B11" s="12">
        <v>0.15</v>
      </c>
      <c r="C11" s="16">
        <v>0</v>
      </c>
      <c r="D11" s="17">
        <v>18000</v>
      </c>
      <c r="E11" s="17">
        <v>0</v>
      </c>
      <c r="I11" s="7"/>
      <c r="J11" s="3"/>
      <c r="K11" s="7"/>
      <c r="L11" s="8"/>
      <c r="M11" s="9"/>
      <c r="N11" s="10"/>
    </row>
    <row r="12" spans="2:14" ht="14.25" hidden="1">
      <c r="B12" s="12">
        <v>0.2</v>
      </c>
      <c r="C12" s="16">
        <f>D11</f>
        <v>18000</v>
      </c>
      <c r="D12" s="17">
        <v>40000</v>
      </c>
      <c r="E12" s="17">
        <f>(D11-C11)*B11+E11</f>
        <v>2700</v>
      </c>
      <c r="I12" s="7"/>
      <c r="J12" s="3"/>
      <c r="K12" s="7"/>
      <c r="L12" s="8"/>
      <c r="M12" s="9"/>
      <c r="N12" s="10"/>
    </row>
    <row r="13" spans="2:14" ht="14.25" hidden="1">
      <c r="B13" s="12">
        <v>0.27</v>
      </c>
      <c r="C13" s="16">
        <f>D12</f>
        <v>40000</v>
      </c>
      <c r="D13" s="17">
        <v>148000</v>
      </c>
      <c r="E13" s="17">
        <f>(D12-C12)*B12+E12</f>
        <v>7100</v>
      </c>
      <c r="I13" s="7"/>
      <c r="J13" s="3"/>
      <c r="K13" s="7"/>
      <c r="L13" s="8"/>
      <c r="M13" s="9"/>
      <c r="N13" s="10"/>
    </row>
    <row r="14" spans="2:14" ht="14.25" hidden="1">
      <c r="B14" s="12">
        <v>0.35</v>
      </c>
      <c r="C14" s="16">
        <f>D13</f>
        <v>148000</v>
      </c>
      <c r="D14" s="17">
        <v>999999999</v>
      </c>
      <c r="E14" s="17">
        <f>(D13-C13)*B13+E13</f>
        <v>36260</v>
      </c>
      <c r="I14" s="7"/>
      <c r="J14" s="3"/>
      <c r="K14" s="7"/>
      <c r="L14" s="8"/>
      <c r="M14" s="9"/>
      <c r="N14" s="10"/>
    </row>
    <row r="15" spans="2:14" ht="14.25" hidden="1">
      <c r="B15" s="18"/>
      <c r="C15" s="19"/>
      <c r="D15" s="20"/>
      <c r="E15" s="21"/>
      <c r="I15" s="7"/>
      <c r="J15" s="3"/>
      <c r="K15" s="7"/>
      <c r="L15" s="8"/>
      <c r="M15" s="9"/>
      <c r="N15" s="10"/>
    </row>
    <row r="16" spans="2:14" ht="14.25" hidden="1">
      <c r="B16" s="56" t="s">
        <v>43</v>
      </c>
      <c r="C16" s="56"/>
      <c r="D16" s="20"/>
      <c r="E16" s="21"/>
      <c r="I16" s="7"/>
      <c r="J16" s="3"/>
      <c r="K16" s="7"/>
      <c r="L16" s="8"/>
      <c r="M16" s="9"/>
      <c r="N16" s="3"/>
    </row>
    <row r="17" spans="2:14" ht="14.25" hidden="1">
      <c r="B17" s="57">
        <v>19188</v>
      </c>
      <c r="C17" s="58"/>
      <c r="D17" s="20"/>
      <c r="E17" s="21"/>
      <c r="I17" s="7"/>
      <c r="J17" s="3"/>
      <c r="K17" s="7"/>
      <c r="L17" s="8"/>
      <c r="M17" s="9"/>
      <c r="N17" s="3"/>
    </row>
    <row r="18" spans="2:14" ht="14.25" hidden="1">
      <c r="B18" s="22"/>
      <c r="C18" s="23"/>
      <c r="D18" s="20"/>
      <c r="E18" s="21"/>
      <c r="I18" s="7"/>
      <c r="J18" s="3"/>
      <c r="K18" s="7"/>
      <c r="L18" s="8"/>
      <c r="M18" s="9"/>
      <c r="N18" s="3"/>
    </row>
    <row r="19" spans="2:14" ht="14.25">
      <c r="B19" s="51" t="s">
        <v>31</v>
      </c>
      <c r="C19" s="52"/>
      <c r="D19" s="53"/>
      <c r="E19" s="21"/>
      <c r="I19" s="7"/>
      <c r="J19" s="3"/>
      <c r="K19" s="7"/>
      <c r="L19" s="8"/>
      <c r="M19" s="9"/>
      <c r="N19" s="3"/>
    </row>
    <row r="20" spans="2:14" ht="14.25">
      <c r="B20" s="24" t="s">
        <v>32</v>
      </c>
      <c r="C20" s="25"/>
      <c r="D20" s="26" t="s">
        <v>38</v>
      </c>
      <c r="E20" s="21"/>
      <c r="I20" s="7"/>
      <c r="J20" s="3"/>
      <c r="K20" s="7"/>
      <c r="L20" s="8"/>
      <c r="M20" s="9"/>
      <c r="N20" s="3"/>
    </row>
    <row r="21" spans="2:14" ht="14.25">
      <c r="B21" s="24" t="s">
        <v>34</v>
      </c>
      <c r="C21" s="25"/>
      <c r="D21" s="26" t="s">
        <v>38</v>
      </c>
      <c r="E21" s="21"/>
      <c r="I21" s="7"/>
      <c r="J21" s="3"/>
      <c r="K21" s="7"/>
      <c r="L21" s="8"/>
      <c r="M21" s="9"/>
      <c r="N21" s="3"/>
    </row>
    <row r="22" spans="2:14" ht="14.25">
      <c r="B22" s="24" t="s">
        <v>35</v>
      </c>
      <c r="C22" s="25"/>
      <c r="D22" s="26">
        <v>0</v>
      </c>
      <c r="E22" s="21"/>
      <c r="I22" s="7"/>
      <c r="J22" s="3"/>
      <c r="K22" s="7"/>
      <c r="L22" s="8"/>
      <c r="M22" s="9"/>
      <c r="N22" s="3"/>
    </row>
    <row r="23" spans="2:16" ht="14.25" hidden="1">
      <c r="B23" s="54" t="s">
        <v>36</v>
      </c>
      <c r="C23" s="55"/>
      <c r="D23" s="48">
        <f>IF(D20="hayır",0.5,IF((IF(D21="evet",0.5,0.6)+IF(D22&gt;2,(D22-2)*0.05+0.15,D22*0.075))&gt;0.85,0.85,(IF(D21="evet",0.5,0.6)+IF(D22&gt;2,(D22-2)*0.05+0.15,D22*0.075))))</f>
        <v>0.5</v>
      </c>
      <c r="O23" s="27"/>
      <c r="P23" s="28"/>
    </row>
    <row r="24" spans="2:4" ht="14.25" hidden="1">
      <c r="B24" s="54" t="s">
        <v>41</v>
      </c>
      <c r="C24" s="55"/>
      <c r="D24" s="47">
        <v>2558.39</v>
      </c>
    </row>
    <row r="25" spans="2:4" ht="14.25">
      <c r="B25" s="5"/>
      <c r="C25" s="5"/>
      <c r="D25" s="5"/>
    </row>
    <row r="26" spans="1:17" s="32" customFormat="1" ht="33.75" customHeight="1">
      <c r="A26" s="29" t="s">
        <v>6</v>
      </c>
      <c r="B26" s="30" t="s">
        <v>0</v>
      </c>
      <c r="C26" s="30" t="s">
        <v>7</v>
      </c>
      <c r="D26" s="30" t="s">
        <v>8</v>
      </c>
      <c r="E26" s="30" t="s">
        <v>9</v>
      </c>
      <c r="F26" s="29" t="s">
        <v>10</v>
      </c>
      <c r="G26" s="29" t="s">
        <v>11</v>
      </c>
      <c r="H26" s="30" t="s">
        <v>12</v>
      </c>
      <c r="I26" s="30" t="s">
        <v>13</v>
      </c>
      <c r="J26" s="30" t="s">
        <v>14</v>
      </c>
      <c r="K26" s="29" t="s">
        <v>3</v>
      </c>
      <c r="L26" s="29" t="s">
        <v>16</v>
      </c>
      <c r="M26" s="29" t="s">
        <v>17</v>
      </c>
      <c r="N26" s="29" t="s">
        <v>15</v>
      </c>
      <c r="O26" s="29" t="s">
        <v>46</v>
      </c>
      <c r="P26" s="31" t="s">
        <v>47</v>
      </c>
      <c r="Q26" s="49" t="s">
        <v>45</v>
      </c>
    </row>
    <row r="27" spans="1:18" ht="21" customHeight="1">
      <c r="A27" s="46" t="s">
        <v>19</v>
      </c>
      <c r="B27" s="33">
        <f>IF(D2=0,0,ROUND((N27+C27+D27+J27+K27),2))</f>
        <v>3077.31</v>
      </c>
      <c r="C27" s="33">
        <f>IF(D2=0,0,ROUND(IF(B27&gt;$B$17,$B$17*$D$4,B27*$D$4),2))</f>
        <v>430.82</v>
      </c>
      <c r="D27" s="33">
        <f>IF(D2=0,0,ROUND(IF(B27&gt;$B$17,$B$17*$D$5,B27*$D$5),2))</f>
        <v>30.77</v>
      </c>
      <c r="E27" s="34">
        <f>B27-C27-D27</f>
        <v>2615.72</v>
      </c>
      <c r="F27" s="34">
        <f>SUM($E$27:E27)</f>
        <v>2615.72</v>
      </c>
      <c r="G27" s="35">
        <f aca="true" t="shared" si="0" ref="G27:G38">IF(F27&lt;=$D$11,$B$11,IF(F27&gt;$D$13,$B$14,IF(F27&lt;$D$12,$B$12,$B$13)))</f>
        <v>0.15</v>
      </c>
      <c r="H27" s="34">
        <f>IF(G27=0,0,1)</f>
        <v>1</v>
      </c>
      <c r="I27" s="35">
        <f>IF(H27=0,G27,(VLOOKUP($G27,$B$11:$D$14,2,0))/E27+(F27-VLOOKUP($G27,$B$11:$D$14,2,0))/E27*G27)</f>
        <v>0.15</v>
      </c>
      <c r="J27" s="36">
        <f>IF(D2=0,0,ROUND(I27*E27,2)+VLOOKUP(G27,B11:E14,4,0))</f>
        <v>392.36</v>
      </c>
      <c r="K27" s="33">
        <f>IF(D2=0,0,ROUND(B27*$D$6,2))</f>
        <v>23.36</v>
      </c>
      <c r="L27" s="36">
        <f>ROUND(IF(B27&gt;$B$17,$B$17*$D$7,B27*$D$7),2)</f>
        <v>630.85</v>
      </c>
      <c r="M27" s="36">
        <f>ROUND(IF(B27&gt;$B$17,$B$17*$D$8,B27*$D$8),2)</f>
        <v>61.55</v>
      </c>
      <c r="N27" s="37">
        <f aca="true" t="shared" si="1" ref="N27:N38">$D$2</f>
        <v>2200</v>
      </c>
      <c r="O27" s="38">
        <f aca="true" t="shared" si="2" ref="O27:O38">IF(ROUND((($D$24*$D$23)*0.15),2)&lt;(E27*0.15),ROUND((($D$24*$D$23)*0.15),2),E27*0.15)</f>
        <v>191.88</v>
      </c>
      <c r="P27" s="38">
        <f>N27+O27</f>
        <v>2391.88</v>
      </c>
      <c r="Q27" s="50">
        <f>ROUND((B27+L27+M27),2)-B27*0.05</f>
        <v>3615.8445</v>
      </c>
      <c r="R27" s="39"/>
    </row>
    <row r="28" spans="1:18" ht="21" customHeight="1">
      <c r="A28" s="46" t="s">
        <v>20</v>
      </c>
      <c r="B28" s="33">
        <f aca="true" t="shared" si="3" ref="B28:B38">ROUND((N28+C28+D28+J28+K28),2)</f>
        <v>3077.31</v>
      </c>
      <c r="C28" s="33">
        <f>ROUND(IF(B28&gt;$B$17,$B$17*$D$4,B28*$D$4),2)</f>
        <v>430.82</v>
      </c>
      <c r="D28" s="33">
        <f>ROUND(IF(B28&gt;$B$17,$B$17*$D$5,B28*$D$5),2)</f>
        <v>30.77</v>
      </c>
      <c r="E28" s="34">
        <f aca="true" t="shared" si="4" ref="E28:E38">B28-C28-D28</f>
        <v>2615.72</v>
      </c>
      <c r="F28" s="34">
        <f>SUM($E$27:E28)</f>
        <v>5231.44</v>
      </c>
      <c r="G28" s="35">
        <f>IF(F28&lt;=$D$11,$B$11,IF(F28&gt;$D$13,$B$14,IF(F28&lt;$D$12,$B$12,$B$13)))</f>
        <v>0.15</v>
      </c>
      <c r="H28" s="34">
        <f aca="true" t="shared" si="5" ref="H28:H38">IF(G28-G27=0,0,1)</f>
        <v>0</v>
      </c>
      <c r="I28" s="35">
        <f aca="true" t="shared" si="6" ref="I28:I38">IF(H28=0,G28,(VLOOKUP($G28,$B$11:$D$14,2,0)-F27)/E28*G27+(F28-VLOOKUP($G28,$B$11:$D$14,2,0))/E28*G28)</f>
        <v>0.15</v>
      </c>
      <c r="J28" s="36">
        <f aca="true" t="shared" si="7" ref="J28:J38">ROUND(I28*E28,2)</f>
        <v>392.36</v>
      </c>
      <c r="K28" s="33">
        <f aca="true" t="shared" si="8" ref="K28:K38">ROUND(B28*$D$6,2)</f>
        <v>23.36</v>
      </c>
      <c r="L28" s="36">
        <f>ROUND(IF(B28&gt;$B$17,$B$17*$D$7,B28*$D$7),2)</f>
        <v>630.85</v>
      </c>
      <c r="M28" s="36">
        <f>ROUND(IF(B28&gt;$B$17,$B$17*$D$8,B28*$D$8),2)</f>
        <v>61.55</v>
      </c>
      <c r="N28" s="37">
        <f t="shared" si="1"/>
        <v>2200</v>
      </c>
      <c r="O28" s="38">
        <f t="shared" si="2"/>
        <v>191.88</v>
      </c>
      <c r="P28" s="38">
        <f aca="true" t="shared" si="9" ref="P28:P38">N28+O28</f>
        <v>2391.88</v>
      </c>
      <c r="Q28" s="50">
        <f aca="true" t="shared" si="10" ref="Q28:Q38">ROUND((B28+L28+M28),2)-B28*0.05</f>
        <v>3615.8445</v>
      </c>
      <c r="R28" s="40"/>
    </row>
    <row r="29" spans="1:17" ht="21" customHeight="1">
      <c r="A29" s="46" t="s">
        <v>21</v>
      </c>
      <c r="B29" s="33">
        <f t="shared" si="3"/>
        <v>3077.31</v>
      </c>
      <c r="C29" s="33">
        <f aca="true" t="shared" si="11" ref="C29:C38">ROUND(IF(B29&gt;$B$17,$B$17*$D$4,B29*$D$4),2)</f>
        <v>430.82</v>
      </c>
      <c r="D29" s="33">
        <f aca="true" t="shared" si="12" ref="D29:D38">ROUND(IF(B29&gt;$B$17,$B$17*$D$5,B29*$D$5),2)</f>
        <v>30.77</v>
      </c>
      <c r="E29" s="34">
        <f t="shared" si="4"/>
        <v>2615.72</v>
      </c>
      <c r="F29" s="34">
        <f>SUM($E$27:E29)</f>
        <v>7847.16</v>
      </c>
      <c r="G29" s="35">
        <f t="shared" si="0"/>
        <v>0.15</v>
      </c>
      <c r="H29" s="34">
        <f t="shared" si="5"/>
        <v>0</v>
      </c>
      <c r="I29" s="35">
        <f t="shared" si="6"/>
        <v>0.15</v>
      </c>
      <c r="J29" s="36">
        <f t="shared" si="7"/>
        <v>392.36</v>
      </c>
      <c r="K29" s="33">
        <f t="shared" si="8"/>
        <v>23.36</v>
      </c>
      <c r="L29" s="36">
        <f aca="true" t="shared" si="13" ref="L29:L38">ROUND(IF(B29&gt;$B$17,$B$17*$D$7,B29*$D$7),2)</f>
        <v>630.85</v>
      </c>
      <c r="M29" s="36">
        <f aca="true" t="shared" si="14" ref="M29:M38">ROUND(IF(B29&gt;$B$17,$B$17*$D$8,B29*$D$8),2)</f>
        <v>61.55</v>
      </c>
      <c r="N29" s="37">
        <f t="shared" si="1"/>
        <v>2200</v>
      </c>
      <c r="O29" s="38">
        <f t="shared" si="2"/>
        <v>191.88</v>
      </c>
      <c r="P29" s="38">
        <f t="shared" si="9"/>
        <v>2391.88</v>
      </c>
      <c r="Q29" s="50">
        <f t="shared" si="10"/>
        <v>3615.8445</v>
      </c>
    </row>
    <row r="30" spans="1:17" ht="21" customHeight="1">
      <c r="A30" s="46" t="s">
        <v>22</v>
      </c>
      <c r="B30" s="33">
        <f t="shared" si="3"/>
        <v>3077.31</v>
      </c>
      <c r="C30" s="33">
        <f t="shared" si="11"/>
        <v>430.82</v>
      </c>
      <c r="D30" s="33">
        <f t="shared" si="12"/>
        <v>30.77</v>
      </c>
      <c r="E30" s="34">
        <f t="shared" si="4"/>
        <v>2615.72</v>
      </c>
      <c r="F30" s="34">
        <f>SUM($E$27:E30)</f>
        <v>10462.88</v>
      </c>
      <c r="G30" s="35">
        <f t="shared" si="0"/>
        <v>0.15</v>
      </c>
      <c r="H30" s="34">
        <f t="shared" si="5"/>
        <v>0</v>
      </c>
      <c r="I30" s="35">
        <f t="shared" si="6"/>
        <v>0.15</v>
      </c>
      <c r="J30" s="36">
        <f t="shared" si="7"/>
        <v>392.36</v>
      </c>
      <c r="K30" s="33">
        <f t="shared" si="8"/>
        <v>23.36</v>
      </c>
      <c r="L30" s="36">
        <f t="shared" si="13"/>
        <v>630.85</v>
      </c>
      <c r="M30" s="36">
        <f t="shared" si="14"/>
        <v>61.55</v>
      </c>
      <c r="N30" s="37">
        <f t="shared" si="1"/>
        <v>2200</v>
      </c>
      <c r="O30" s="38">
        <f t="shared" si="2"/>
        <v>191.88</v>
      </c>
      <c r="P30" s="38">
        <f t="shared" si="9"/>
        <v>2391.88</v>
      </c>
      <c r="Q30" s="50">
        <f t="shared" si="10"/>
        <v>3615.8445</v>
      </c>
    </row>
    <row r="31" spans="1:17" ht="21" customHeight="1">
      <c r="A31" s="46" t="s">
        <v>23</v>
      </c>
      <c r="B31" s="33">
        <f t="shared" si="3"/>
        <v>3077.31</v>
      </c>
      <c r="C31" s="33">
        <f t="shared" si="11"/>
        <v>430.82</v>
      </c>
      <c r="D31" s="33">
        <f t="shared" si="12"/>
        <v>30.77</v>
      </c>
      <c r="E31" s="34">
        <f t="shared" si="4"/>
        <v>2615.72</v>
      </c>
      <c r="F31" s="34">
        <f>SUM($E$27:E31)</f>
        <v>13078.599999999999</v>
      </c>
      <c r="G31" s="35">
        <f t="shared" si="0"/>
        <v>0.15</v>
      </c>
      <c r="H31" s="34">
        <f t="shared" si="5"/>
        <v>0</v>
      </c>
      <c r="I31" s="35">
        <f t="shared" si="6"/>
        <v>0.15</v>
      </c>
      <c r="J31" s="36">
        <f t="shared" si="7"/>
        <v>392.36</v>
      </c>
      <c r="K31" s="33">
        <f t="shared" si="8"/>
        <v>23.36</v>
      </c>
      <c r="L31" s="36">
        <f t="shared" si="13"/>
        <v>630.85</v>
      </c>
      <c r="M31" s="36">
        <f t="shared" si="14"/>
        <v>61.55</v>
      </c>
      <c r="N31" s="37">
        <f t="shared" si="1"/>
        <v>2200</v>
      </c>
      <c r="O31" s="38">
        <f t="shared" si="2"/>
        <v>191.88</v>
      </c>
      <c r="P31" s="38">
        <f t="shared" si="9"/>
        <v>2391.88</v>
      </c>
      <c r="Q31" s="50">
        <f t="shared" si="10"/>
        <v>3615.8445</v>
      </c>
    </row>
    <row r="32" spans="1:17" ht="21" customHeight="1">
      <c r="A32" s="46" t="s">
        <v>24</v>
      </c>
      <c r="B32" s="33">
        <f t="shared" si="3"/>
        <v>3077.31</v>
      </c>
      <c r="C32" s="33">
        <f t="shared" si="11"/>
        <v>430.82</v>
      </c>
      <c r="D32" s="33">
        <f t="shared" si="12"/>
        <v>30.77</v>
      </c>
      <c r="E32" s="34">
        <f t="shared" si="4"/>
        <v>2615.72</v>
      </c>
      <c r="F32" s="34">
        <f>SUM($E$27:E32)</f>
        <v>15694.319999999998</v>
      </c>
      <c r="G32" s="35">
        <f t="shared" si="0"/>
        <v>0.15</v>
      </c>
      <c r="H32" s="34">
        <f t="shared" si="5"/>
        <v>0</v>
      </c>
      <c r="I32" s="35">
        <f t="shared" si="6"/>
        <v>0.15</v>
      </c>
      <c r="J32" s="36">
        <f t="shared" si="7"/>
        <v>392.36</v>
      </c>
      <c r="K32" s="33">
        <f t="shared" si="8"/>
        <v>23.36</v>
      </c>
      <c r="L32" s="36">
        <f t="shared" si="13"/>
        <v>630.85</v>
      </c>
      <c r="M32" s="36">
        <f t="shared" si="14"/>
        <v>61.55</v>
      </c>
      <c r="N32" s="37">
        <f t="shared" si="1"/>
        <v>2200</v>
      </c>
      <c r="O32" s="38">
        <f t="shared" si="2"/>
        <v>191.88</v>
      </c>
      <c r="P32" s="38">
        <f t="shared" si="9"/>
        <v>2391.88</v>
      </c>
      <c r="Q32" s="50">
        <f t="shared" si="10"/>
        <v>3615.8445</v>
      </c>
    </row>
    <row r="33" spans="1:17" ht="21" customHeight="1">
      <c r="A33" s="46" t="s">
        <v>25</v>
      </c>
      <c r="B33" s="33">
        <f t="shared" si="3"/>
        <v>3100.36</v>
      </c>
      <c r="C33" s="33">
        <f t="shared" si="11"/>
        <v>434.05</v>
      </c>
      <c r="D33" s="33">
        <f t="shared" si="12"/>
        <v>31</v>
      </c>
      <c r="E33" s="34">
        <f t="shared" si="4"/>
        <v>2635.31</v>
      </c>
      <c r="F33" s="34">
        <f>SUM($E$27:E33)</f>
        <v>18329.629999999997</v>
      </c>
      <c r="G33" s="35">
        <f t="shared" si="0"/>
        <v>0.2</v>
      </c>
      <c r="H33" s="34">
        <f t="shared" si="5"/>
        <v>1</v>
      </c>
      <c r="I33" s="35">
        <f t="shared" si="6"/>
        <v>0.15625410293286168</v>
      </c>
      <c r="J33" s="36">
        <f t="shared" si="7"/>
        <v>411.78</v>
      </c>
      <c r="K33" s="33">
        <f t="shared" si="8"/>
        <v>23.53</v>
      </c>
      <c r="L33" s="36">
        <f t="shared" si="13"/>
        <v>635.57</v>
      </c>
      <c r="M33" s="36">
        <f t="shared" si="14"/>
        <v>62.01</v>
      </c>
      <c r="N33" s="37">
        <f t="shared" si="1"/>
        <v>2200</v>
      </c>
      <c r="O33" s="38">
        <f t="shared" si="2"/>
        <v>191.88</v>
      </c>
      <c r="P33" s="38">
        <f t="shared" si="9"/>
        <v>2391.88</v>
      </c>
      <c r="Q33" s="50">
        <f t="shared" si="10"/>
        <v>3642.922</v>
      </c>
    </row>
    <row r="34" spans="1:17" ht="21" customHeight="1">
      <c r="A34" s="46" t="s">
        <v>26</v>
      </c>
      <c r="B34" s="33">
        <f t="shared" si="3"/>
        <v>3271.81</v>
      </c>
      <c r="C34" s="33">
        <f t="shared" si="11"/>
        <v>458.05</v>
      </c>
      <c r="D34" s="33">
        <f t="shared" si="12"/>
        <v>32.72</v>
      </c>
      <c r="E34" s="34">
        <f t="shared" si="4"/>
        <v>2781.04</v>
      </c>
      <c r="F34" s="34">
        <f>SUM($E$27:E34)</f>
        <v>21110.67</v>
      </c>
      <c r="G34" s="35">
        <f t="shared" si="0"/>
        <v>0.2</v>
      </c>
      <c r="H34" s="34">
        <f t="shared" si="5"/>
        <v>0</v>
      </c>
      <c r="I34" s="35">
        <f t="shared" si="6"/>
        <v>0.2</v>
      </c>
      <c r="J34" s="36">
        <f t="shared" si="7"/>
        <v>556.21</v>
      </c>
      <c r="K34" s="33">
        <f t="shared" si="8"/>
        <v>24.83</v>
      </c>
      <c r="L34" s="36">
        <f t="shared" si="13"/>
        <v>670.72</v>
      </c>
      <c r="M34" s="36">
        <f t="shared" si="14"/>
        <v>65.44</v>
      </c>
      <c r="N34" s="37">
        <f t="shared" si="1"/>
        <v>2200</v>
      </c>
      <c r="O34" s="38">
        <f t="shared" si="2"/>
        <v>191.88</v>
      </c>
      <c r="P34" s="38">
        <f t="shared" si="9"/>
        <v>2391.88</v>
      </c>
      <c r="Q34" s="50">
        <f t="shared" si="10"/>
        <v>3844.3795</v>
      </c>
    </row>
    <row r="35" spans="1:17" ht="21" customHeight="1">
      <c r="A35" s="46" t="s">
        <v>27</v>
      </c>
      <c r="B35" s="33">
        <f t="shared" si="3"/>
        <v>3271.81</v>
      </c>
      <c r="C35" s="33">
        <f t="shared" si="11"/>
        <v>458.05</v>
      </c>
      <c r="D35" s="33">
        <f t="shared" si="12"/>
        <v>32.72</v>
      </c>
      <c r="E35" s="34">
        <f t="shared" si="4"/>
        <v>2781.04</v>
      </c>
      <c r="F35" s="34">
        <f>SUM($E$27:E35)</f>
        <v>23891.71</v>
      </c>
      <c r="G35" s="35">
        <f t="shared" si="0"/>
        <v>0.2</v>
      </c>
      <c r="H35" s="34">
        <f t="shared" si="5"/>
        <v>0</v>
      </c>
      <c r="I35" s="35">
        <f t="shared" si="6"/>
        <v>0.2</v>
      </c>
      <c r="J35" s="36">
        <f t="shared" si="7"/>
        <v>556.21</v>
      </c>
      <c r="K35" s="33">
        <f t="shared" si="8"/>
        <v>24.83</v>
      </c>
      <c r="L35" s="36">
        <f t="shared" si="13"/>
        <v>670.72</v>
      </c>
      <c r="M35" s="36">
        <f t="shared" si="14"/>
        <v>65.44</v>
      </c>
      <c r="N35" s="37">
        <f t="shared" si="1"/>
        <v>2200</v>
      </c>
      <c r="O35" s="38">
        <f t="shared" si="2"/>
        <v>191.88</v>
      </c>
      <c r="P35" s="38">
        <f t="shared" si="9"/>
        <v>2391.88</v>
      </c>
      <c r="Q35" s="50">
        <f t="shared" si="10"/>
        <v>3844.3795</v>
      </c>
    </row>
    <row r="36" spans="1:17" ht="21" customHeight="1">
      <c r="A36" s="46" t="s">
        <v>28</v>
      </c>
      <c r="B36" s="33">
        <f t="shared" si="3"/>
        <v>3271.81</v>
      </c>
      <c r="C36" s="33">
        <f t="shared" si="11"/>
        <v>458.05</v>
      </c>
      <c r="D36" s="33">
        <f t="shared" si="12"/>
        <v>32.72</v>
      </c>
      <c r="E36" s="34">
        <f t="shared" si="4"/>
        <v>2781.04</v>
      </c>
      <c r="F36" s="34">
        <f>SUM($E$27:E36)</f>
        <v>26672.75</v>
      </c>
      <c r="G36" s="35">
        <f t="shared" si="0"/>
        <v>0.2</v>
      </c>
      <c r="H36" s="34">
        <f t="shared" si="5"/>
        <v>0</v>
      </c>
      <c r="I36" s="35">
        <f t="shared" si="6"/>
        <v>0.2</v>
      </c>
      <c r="J36" s="36">
        <f t="shared" si="7"/>
        <v>556.21</v>
      </c>
      <c r="K36" s="33">
        <f t="shared" si="8"/>
        <v>24.83</v>
      </c>
      <c r="L36" s="36">
        <f t="shared" si="13"/>
        <v>670.72</v>
      </c>
      <c r="M36" s="36">
        <f t="shared" si="14"/>
        <v>65.44</v>
      </c>
      <c r="N36" s="37">
        <f t="shared" si="1"/>
        <v>2200</v>
      </c>
      <c r="O36" s="38">
        <f t="shared" si="2"/>
        <v>191.88</v>
      </c>
      <c r="P36" s="38">
        <f t="shared" si="9"/>
        <v>2391.88</v>
      </c>
      <c r="Q36" s="50">
        <f t="shared" si="10"/>
        <v>3844.3795</v>
      </c>
    </row>
    <row r="37" spans="1:17" ht="21" customHeight="1">
      <c r="A37" s="46" t="s">
        <v>29</v>
      </c>
      <c r="B37" s="33">
        <f t="shared" si="3"/>
        <v>3271.81</v>
      </c>
      <c r="C37" s="33">
        <f t="shared" si="11"/>
        <v>458.05</v>
      </c>
      <c r="D37" s="33">
        <f t="shared" si="12"/>
        <v>32.72</v>
      </c>
      <c r="E37" s="34">
        <f t="shared" si="4"/>
        <v>2781.04</v>
      </c>
      <c r="F37" s="34">
        <f>SUM($E$27:E37)</f>
        <v>29453.79</v>
      </c>
      <c r="G37" s="35">
        <f t="shared" si="0"/>
        <v>0.2</v>
      </c>
      <c r="H37" s="34">
        <f t="shared" si="5"/>
        <v>0</v>
      </c>
      <c r="I37" s="35">
        <f t="shared" si="6"/>
        <v>0.2</v>
      </c>
      <c r="J37" s="36">
        <f t="shared" si="7"/>
        <v>556.21</v>
      </c>
      <c r="K37" s="33">
        <f t="shared" si="8"/>
        <v>24.83</v>
      </c>
      <c r="L37" s="36">
        <f t="shared" si="13"/>
        <v>670.72</v>
      </c>
      <c r="M37" s="36">
        <f t="shared" si="14"/>
        <v>65.44</v>
      </c>
      <c r="N37" s="37">
        <f t="shared" si="1"/>
        <v>2200</v>
      </c>
      <c r="O37" s="38">
        <f t="shared" si="2"/>
        <v>191.88</v>
      </c>
      <c r="P37" s="38">
        <f t="shared" si="9"/>
        <v>2391.88</v>
      </c>
      <c r="Q37" s="50">
        <f t="shared" si="10"/>
        <v>3844.3795</v>
      </c>
    </row>
    <row r="38" spans="1:17" ht="21" customHeight="1">
      <c r="A38" s="46" t="s">
        <v>30</v>
      </c>
      <c r="B38" s="33">
        <f t="shared" si="3"/>
        <v>3271.81</v>
      </c>
      <c r="C38" s="33">
        <f t="shared" si="11"/>
        <v>458.05</v>
      </c>
      <c r="D38" s="33">
        <f t="shared" si="12"/>
        <v>32.72</v>
      </c>
      <c r="E38" s="34">
        <f t="shared" si="4"/>
        <v>2781.04</v>
      </c>
      <c r="F38" s="34">
        <f>SUM($E$27:E38)</f>
        <v>32234.83</v>
      </c>
      <c r="G38" s="35">
        <f t="shared" si="0"/>
        <v>0.2</v>
      </c>
      <c r="H38" s="34">
        <f t="shared" si="5"/>
        <v>0</v>
      </c>
      <c r="I38" s="35">
        <f t="shared" si="6"/>
        <v>0.2</v>
      </c>
      <c r="J38" s="36">
        <f t="shared" si="7"/>
        <v>556.21</v>
      </c>
      <c r="K38" s="33">
        <f t="shared" si="8"/>
        <v>24.83</v>
      </c>
      <c r="L38" s="36">
        <f t="shared" si="13"/>
        <v>670.72</v>
      </c>
      <c r="M38" s="36">
        <f t="shared" si="14"/>
        <v>65.44</v>
      </c>
      <c r="N38" s="37">
        <f t="shared" si="1"/>
        <v>2200</v>
      </c>
      <c r="O38" s="38">
        <f t="shared" si="2"/>
        <v>191.88</v>
      </c>
      <c r="P38" s="38">
        <f t="shared" si="9"/>
        <v>2391.88</v>
      </c>
      <c r="Q38" s="50">
        <f t="shared" si="10"/>
        <v>3844.3795</v>
      </c>
    </row>
    <row r="39" spans="1:17" ht="28.5" customHeight="1">
      <c r="A39" s="41" t="s">
        <v>18</v>
      </c>
      <c r="B39" s="42">
        <f>SUM(B27:B38)</f>
        <v>37923.270000000004</v>
      </c>
      <c r="C39" s="42">
        <f>SUM(C27:C38)</f>
        <v>5309.220000000001</v>
      </c>
      <c r="D39" s="42">
        <f>SUM(D27:D38)</f>
        <v>379.22</v>
      </c>
      <c r="E39" s="43">
        <f>SUM(E27:E38)</f>
        <v>32234.83</v>
      </c>
      <c r="F39" s="43">
        <f aca="true" t="shared" si="15" ref="F39:Q39">SUM(F27:F38)</f>
        <v>206623.5</v>
      </c>
      <c r="G39" s="43">
        <f t="shared" si="15"/>
        <v>2.1</v>
      </c>
      <c r="H39" s="43">
        <f t="shared" si="15"/>
        <v>2</v>
      </c>
      <c r="I39" s="43">
        <f t="shared" si="15"/>
        <v>2.056254102932862</v>
      </c>
      <c r="J39" s="42">
        <f t="shared" si="15"/>
        <v>5546.990000000001</v>
      </c>
      <c r="K39" s="42">
        <f t="shared" si="15"/>
        <v>287.8399999999999</v>
      </c>
      <c r="L39" s="42">
        <f t="shared" si="15"/>
        <v>7774.270000000001</v>
      </c>
      <c r="M39" s="42">
        <f t="shared" si="15"/>
        <v>758.5100000000002</v>
      </c>
      <c r="N39" s="42">
        <f t="shared" si="15"/>
        <v>26400</v>
      </c>
      <c r="O39" s="42">
        <f t="shared" si="15"/>
        <v>2302.5600000000004</v>
      </c>
      <c r="P39" s="42">
        <f t="shared" si="15"/>
        <v>28702.56000000001</v>
      </c>
      <c r="Q39" s="43">
        <f t="shared" si="15"/>
        <v>44559.88650000001</v>
      </c>
    </row>
    <row r="41" spans="1:12" ht="14.25">
      <c r="A41" s="3"/>
      <c r="B41" s="3"/>
      <c r="C41" s="40"/>
      <c r="D41" s="40"/>
      <c r="L41" s="40"/>
    </row>
    <row r="43" ht="14.25">
      <c r="R43" s="44"/>
    </row>
    <row r="44" ht="14.25">
      <c r="S44" s="45"/>
    </row>
  </sheetData>
  <sheetProtection password="EEB6" sheet="1"/>
  <mergeCells count="12">
    <mergeCell ref="B2:C2"/>
    <mergeCell ref="B4:C4"/>
    <mergeCell ref="B5:C5"/>
    <mergeCell ref="B6:C6"/>
    <mergeCell ref="B7:C7"/>
    <mergeCell ref="B8:C8"/>
    <mergeCell ref="B19:D19"/>
    <mergeCell ref="B23:C23"/>
    <mergeCell ref="B24:C24"/>
    <mergeCell ref="B16:C16"/>
    <mergeCell ref="B17:C17"/>
    <mergeCell ref="B10:E10"/>
  </mergeCells>
  <dataValidations count="3">
    <dataValidation type="list" allowBlank="1" showInputMessage="1" showErrorMessage="1" sqref="D22">
      <formula1>$V$3:$V$7</formula1>
    </dataValidation>
    <dataValidation type="list" allowBlank="1" showInputMessage="1" showErrorMessage="1" sqref="D20">
      <formula1>$T$3:$T$4</formula1>
    </dataValidation>
    <dataValidation type="list" allowBlank="1" showInputMessage="1" showErrorMessage="1" sqref="D21">
      <formula1>$U$3:$U$7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B27 C12:D14 B30:B38 E27:G27 B28 E28:K28 B29 E29:K29 E30:K32 D23 J27:K27 E34:K38 E33:H33 J33:K33 C27:D38 N27:Q27 N28:N38 O28:Q38 L27:M27 L28:M38 C39:D39 B39 E39:Q39" unlockedFormula="1"/>
  </ignoredErrors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Nuri Kulcur</cp:lastModifiedBy>
  <dcterms:created xsi:type="dcterms:W3CDTF">2014-08-15T11:58:45Z</dcterms:created>
  <dcterms:modified xsi:type="dcterms:W3CDTF">2019-02-06T21:35:10Z</dcterms:modified>
  <cp:category/>
  <cp:version/>
  <cp:contentType/>
  <cp:contentStatus/>
</cp:coreProperties>
</file>